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80" windowHeight="10290"/>
  </bookViews>
  <sheets>
    <sheet name="исходные данные" sheetId="1" r:id="rId1"/>
  </sheets>
  <externalReferences>
    <externalReference r:id="rId2"/>
    <externalReference r:id="rId3"/>
    <externalReference r:id="rId4"/>
  </externalReferences>
  <definedNames>
    <definedName name="_xlnm.Print_Area" localSheetId="0">'исходные данные'!$A$1:$AC$25</definedName>
  </definedNames>
  <calcPr calcId="144525"/>
</workbook>
</file>

<file path=xl/calcChain.xml><?xml version="1.0" encoding="utf-8"?>
<calcChain xmlns="http://schemas.openxmlformats.org/spreadsheetml/2006/main">
  <c r="T20" i="1" l="1"/>
  <c r="R20" i="1"/>
  <c r="P20" i="1"/>
  <c r="N20" i="1"/>
  <c r="L20" i="1"/>
  <c r="J20" i="1"/>
  <c r="H20" i="1"/>
  <c r="Z19" i="1"/>
  <c r="X19" i="1"/>
  <c r="V19" i="1"/>
  <c r="Z18" i="1"/>
  <c r="X18" i="1"/>
  <c r="V18" i="1"/>
  <c r="Z17" i="1"/>
  <c r="Z20" i="1" s="1"/>
  <c r="X17" i="1"/>
  <c r="X20" i="1" s="1"/>
  <c r="V17" i="1"/>
  <c r="V20" i="1" s="1"/>
  <c r="AB15" i="1"/>
  <c r="AC15" i="1" s="1"/>
  <c r="Z15" i="1"/>
  <c r="AA15" i="1" s="1"/>
  <c r="X15" i="1"/>
  <c r="Y15" i="1" s="1"/>
  <c r="V15" i="1"/>
  <c r="W15" i="1" s="1"/>
  <c r="T15" i="1"/>
  <c r="U15" i="1" s="1"/>
  <c r="R15" i="1"/>
  <c r="S15" i="1" s="1"/>
  <c r="P15" i="1"/>
  <c r="Q15" i="1" s="1"/>
  <c r="O15" i="1"/>
  <c r="M15" i="1"/>
  <c r="K15" i="1"/>
  <c r="I15" i="1"/>
  <c r="G15" i="1"/>
  <c r="AC14" i="1"/>
  <c r="AB14" i="1"/>
  <c r="Z14" i="1"/>
  <c r="X14" i="1"/>
  <c r="V14" i="1"/>
  <c r="T14" i="1"/>
  <c r="U14" i="1" s="1"/>
  <c r="R14" i="1"/>
  <c r="S14" i="1" s="1"/>
  <c r="P14" i="1"/>
  <c r="Q14" i="1" s="1"/>
  <c r="O14" i="1"/>
  <c r="M14" i="1"/>
  <c r="K14" i="1"/>
  <c r="I14" i="1"/>
  <c r="G14" i="1"/>
  <c r="AB13" i="1"/>
  <c r="AC13" i="1" s="1"/>
  <c r="Z13" i="1"/>
  <c r="AA13" i="1" s="1"/>
  <c r="X13" i="1"/>
  <c r="Y13" i="1" s="1"/>
  <c r="V13" i="1"/>
  <c r="W13" i="1" s="1"/>
  <c r="T13" i="1"/>
  <c r="U13" i="1" s="1"/>
  <c r="R13" i="1"/>
  <c r="S13" i="1" s="1"/>
  <c r="P13" i="1"/>
  <c r="Q13" i="1" s="1"/>
  <c r="O13" i="1"/>
  <c r="M13" i="1"/>
  <c r="K13" i="1"/>
  <c r="I13" i="1"/>
  <c r="G13" i="1"/>
  <c r="AC12" i="1"/>
  <c r="AB12" i="1"/>
  <c r="Z12" i="1"/>
  <c r="X12" i="1"/>
  <c r="V12" i="1"/>
  <c r="U12" i="1"/>
  <c r="T12" i="1"/>
  <c r="S12" i="1"/>
  <c r="R12" i="1"/>
  <c r="Q12" i="1"/>
  <c r="P12" i="1"/>
  <c r="O12" i="1"/>
  <c r="M12" i="1"/>
  <c r="K12" i="1"/>
  <c r="I12" i="1"/>
  <c r="G12" i="1"/>
  <c r="AB11" i="1"/>
  <c r="AC11" i="1" s="1"/>
  <c r="Z11" i="1"/>
  <c r="AA11" i="1" s="1"/>
  <c r="X11" i="1"/>
  <c r="Y11" i="1" s="1"/>
  <c r="V11" i="1"/>
  <c r="W11" i="1" s="1"/>
  <c r="U11" i="1"/>
  <c r="T11" i="1"/>
  <c r="R11" i="1"/>
  <c r="S11" i="1" s="1"/>
  <c r="P11" i="1"/>
  <c r="Q11" i="1" s="1"/>
  <c r="O11" i="1"/>
  <c r="M11" i="1"/>
  <c r="K11" i="1"/>
  <c r="I11" i="1"/>
  <c r="G11" i="1"/>
  <c r="V10" i="1"/>
  <c r="W10" i="1" s="1"/>
  <c r="U10" i="1"/>
  <c r="R10" i="1"/>
  <c r="Q10" i="1"/>
  <c r="O10" i="1"/>
  <c r="M10" i="1"/>
  <c r="K10" i="1"/>
  <c r="I10" i="1"/>
  <c r="G10" i="1"/>
  <c r="AB9" i="1"/>
  <c r="AC9" i="1" s="1"/>
  <c r="AC8" i="1" s="1"/>
  <c r="Z9" i="1"/>
  <c r="AA9" i="1" s="1"/>
  <c r="AA8" i="1" s="1"/>
  <c r="X9" i="1"/>
  <c r="Y9" i="1" s="1"/>
  <c r="V9" i="1"/>
  <c r="W9" i="1" s="1"/>
  <c r="T9" i="1"/>
  <c r="U9" i="1" s="1"/>
  <c r="R9" i="1"/>
  <c r="S9" i="1" s="1"/>
  <c r="P9" i="1"/>
  <c r="Q9" i="1" s="1"/>
  <c r="O9" i="1"/>
  <c r="M9" i="1"/>
  <c r="K9" i="1"/>
  <c r="I9" i="1"/>
  <c r="G9" i="1"/>
  <c r="O8" i="1"/>
  <c r="N8" i="1"/>
  <c r="M8" i="1"/>
  <c r="L8" i="1"/>
  <c r="K8" i="1"/>
  <c r="J8" i="1"/>
  <c r="I8" i="1"/>
  <c r="H8" i="1"/>
  <c r="G8" i="1"/>
  <c r="G16" i="1" s="1"/>
  <c r="U8" i="1" l="1"/>
  <c r="U16" i="1" s="1"/>
  <c r="S8" i="1"/>
  <c r="S16" i="1" s="1"/>
  <c r="Q8" i="1"/>
  <c r="W14" i="1"/>
  <c r="W12" i="1"/>
  <c r="W8" i="1" s="1"/>
  <c r="W16" i="1" s="1"/>
  <c r="Y10" i="1"/>
  <c r="AA14" i="1"/>
  <c r="AA12" i="1"/>
  <c r="Y14" i="1"/>
  <c r="Y12" i="1"/>
  <c r="P8" i="1"/>
  <c r="R8" i="1"/>
  <c r="T8" i="1"/>
  <c r="V8" i="1"/>
  <c r="X8" i="1"/>
  <c r="Z8" i="1"/>
  <c r="AB8" i="1"/>
  <c r="Y8" i="1" l="1"/>
  <c r="Y16" i="1" s="1"/>
</calcChain>
</file>

<file path=xl/sharedStrings.xml><?xml version="1.0" encoding="utf-8"?>
<sst xmlns="http://schemas.openxmlformats.org/spreadsheetml/2006/main" count="68" uniqueCount="45">
  <si>
    <t>Исходные данные для расчета стоимости обучения курсантов в ФКОУ ВО Кузбасский институт ФСИН России</t>
  </si>
  <si>
    <t>№ п/п</t>
  </si>
  <si>
    <t>Статьи затрат по смете расходов института</t>
  </si>
  <si>
    <t>2007, всего</t>
  </si>
  <si>
    <t>в т.ч.</t>
  </si>
  <si>
    <t>2008, всего</t>
  </si>
  <si>
    <t>в  т.ч.</t>
  </si>
  <si>
    <t>2009, всего</t>
  </si>
  <si>
    <t>2010, всего</t>
  </si>
  <si>
    <t>2011, всего</t>
  </si>
  <si>
    <t xml:space="preserve"> т.ч.</t>
  </si>
  <si>
    <t>2012, всего</t>
  </si>
  <si>
    <t>2013, всего</t>
  </si>
  <si>
    <t>2014, всего</t>
  </si>
  <si>
    <t>2015, всего</t>
  </si>
  <si>
    <t>2016, всего</t>
  </si>
  <si>
    <t>2017, всего</t>
  </si>
  <si>
    <t>на 1 курсанта</t>
  </si>
  <si>
    <t>Санаторно-курортное лечение  курсанта</t>
  </si>
  <si>
    <t>Продовольственное обеспечение, продукты питания (340)</t>
  </si>
  <si>
    <t>Текущие расходы, всего, в т.ч.</t>
  </si>
  <si>
    <t>1.1.</t>
  </si>
  <si>
    <t>Денежное довольствие и заработная плата профессорско-преподовательского состава и обслуживающего персонала  (211)</t>
  </si>
  <si>
    <t>1.2.</t>
  </si>
  <si>
    <t>Санаторно-курортное лечение профессорско-преподовательского состава и обслуживающего персонала</t>
  </si>
  <si>
    <t>1.3.</t>
  </si>
  <si>
    <t>Амортизация основных средств (271)</t>
  </si>
  <si>
    <t>1.4.</t>
  </si>
  <si>
    <t>Коммунальные услуги (223)</t>
  </si>
  <si>
    <t>1.5.</t>
  </si>
  <si>
    <t>Услуги связи (221)</t>
  </si>
  <si>
    <t>1.6.</t>
  </si>
  <si>
    <t>Содержание имущества(225)</t>
  </si>
  <si>
    <t>1.7.</t>
  </si>
  <si>
    <t>Общехозяйственные и административно-управленческие расходы (212, 222, 226, 262,  290, 340)</t>
  </si>
  <si>
    <t>Всего</t>
  </si>
  <si>
    <t>Численность, ед.(курсанты)</t>
  </si>
  <si>
    <t>Численность, ед.(заочники)</t>
  </si>
  <si>
    <t>Численность, ед.(платники)</t>
  </si>
  <si>
    <t>Численность, ед. (привед)</t>
  </si>
  <si>
    <t>Проезд курсантов-каникулярный отпуск</t>
  </si>
  <si>
    <t>Врио начальника финансово-экономического отдела</t>
  </si>
  <si>
    <t>старший лейтенант внутренней службы</t>
  </si>
  <si>
    <t>Манакова А.В.</t>
  </si>
  <si>
    <t>Е.В. Леонтьева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</si>
</sst>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1" applyFont="1"/>
    <xf numFmtId="0" fontId="5" fillId="0" borderId="0" xfId="1" applyFont="1" applyBorder="1"/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5" fillId="4" borderId="1" xfId="1" applyFont="1" applyFill="1" applyBorder="1"/>
    <xf numFmtId="0" fontId="3" fillId="0" borderId="1" xfId="1" applyFont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1" fontId="6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/>
    <xf numFmtId="4" fontId="5" fillId="0" borderId="0" xfId="1" applyNumberFormat="1" applyFont="1"/>
    <xf numFmtId="3" fontId="3" fillId="2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164" fontId="6" fillId="0" borderId="0" xfId="1" applyNumberFormat="1" applyFont="1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3 2" xfId="5"/>
    <cellStyle name="Обычный 4" xfId="6"/>
    <cellStyle name="Обычный 5" xfId="7"/>
    <cellStyle name="Обычный 6" xfId="8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64;&#1077;&#1088;&#1074;&#1091;&#1076;/&#1059;&#1074;&#1086;&#1083;&#1077;&#1085;&#1085;&#1099;&#1077;%20(&#1082;&#1091;&#1088;&#1089;&#1072;&#1085;&#1090;&#1099;)/&#1056;&#1072;&#1089;&#1095;&#1077;&#1090;&#1099;/&#1056;&#1072;&#1089;&#1095;&#1077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64;&#1077;&#1088;&#1074;&#1091;&#1076;/&#1050;&#1086;&#1084;&#1084;&#1091;&#1085;&#1072;&#1083;&#1100;&#1085;&#1099;&#1077;%20&#1091;&#1089;&#1083;&#1091;&#1075;&#1080;%20&#1087;&#1086;%20&#1082;&#1091;&#1088;&#1089;&#1072;&#1085;&#1090;&#1072;&#1084;%202012-2014/&#1050;&#1086;&#1084;&#1091;&#1085;&#1072;&#1083;&#1082;&#1072;%202012-2014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6;&#1103;&#1079;&#1072;&#1085;&#1086;&#1074;&#1072;/&#1050;&#1086;&#1084;&#1084;&#1091;&#1085;&#1072;&#1083;&#1100;&#1085;&#1099;&#1077;%20&#1091;&#1089;&#1083;&#1091;&#1075;&#1080;%20&#1087;&#1086;%20&#1082;&#1091;&#1088;&#1089;&#1072;&#1085;&#1090;&#1072;&#1084;%202012-2014/&#1050;&#1086;&#1084;&#1091;&#1085;&#1072;&#1083;&#1082;&#1072;%202012-2014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2011"/>
      <sheetName val="Смета2012"/>
      <sheetName val="Смета2013"/>
      <sheetName val="Смета2014"/>
      <sheetName val="Смета2015"/>
      <sheetName val="Смета2016 ноябрь "/>
      <sheetName val="Смета2016"/>
      <sheetName val="Смета2017"/>
      <sheetName val="Данные ДФ"/>
      <sheetName val="исходные данные"/>
      <sheetName val="Смета2016 по август"/>
      <sheetName val="Смета2016 за ноябрь"/>
      <sheetName val="Смета"/>
      <sheetName val="исходные данные (2)"/>
      <sheetName val="Доржиев Д.С."/>
      <sheetName val="Тубольцев М.В."/>
      <sheetName val="Головачев Д.В."/>
      <sheetName val="Нерубенко В.О."/>
    </sheetNames>
    <sheetDataSet>
      <sheetData sheetId="0"/>
      <sheetData sheetId="1">
        <row r="8">
          <cell r="B8">
            <v>91609401.969999999</v>
          </cell>
        </row>
        <row r="13">
          <cell r="B13">
            <v>19282129.539999999</v>
          </cell>
        </row>
        <row r="42">
          <cell r="B42">
            <v>632200</v>
          </cell>
        </row>
        <row r="45">
          <cell r="B45">
            <v>2099489.42</v>
          </cell>
        </row>
        <row r="52">
          <cell r="F52">
            <v>4273944</v>
          </cell>
        </row>
        <row r="56">
          <cell r="F56">
            <v>7473790</v>
          </cell>
        </row>
      </sheetData>
      <sheetData sheetId="2">
        <row r="8">
          <cell r="F8">
            <v>121110122.81999996</v>
          </cell>
        </row>
        <row r="13">
          <cell r="F13">
            <v>17937496.66</v>
          </cell>
        </row>
        <row r="39">
          <cell r="F39">
            <v>596742.85000000009</v>
          </cell>
        </row>
        <row r="42">
          <cell r="F42">
            <v>3481667.7500000019</v>
          </cell>
        </row>
        <row r="49">
          <cell r="F49">
            <v>5150891.62</v>
          </cell>
        </row>
        <row r="52">
          <cell r="F52">
            <v>7199015.5899999999</v>
          </cell>
        </row>
      </sheetData>
      <sheetData sheetId="3">
        <row r="8">
          <cell r="F8">
            <v>156100767.31</v>
          </cell>
        </row>
        <row r="13">
          <cell r="F13">
            <v>19749226</v>
          </cell>
        </row>
        <row r="37">
          <cell r="F37">
            <v>556000</v>
          </cell>
        </row>
        <row r="40">
          <cell r="F40">
            <v>2883400</v>
          </cell>
        </row>
        <row r="47">
          <cell r="F47">
            <v>10630085.77</v>
          </cell>
        </row>
        <row r="48">
          <cell r="F48">
            <v>6577403.0199999996</v>
          </cell>
        </row>
        <row r="51">
          <cell r="F51">
            <v>7997000</v>
          </cell>
        </row>
      </sheetData>
      <sheetData sheetId="4">
        <row r="8">
          <cell r="F8">
            <v>150777815.07000002</v>
          </cell>
        </row>
        <row r="13">
          <cell r="F13">
            <v>16199535.639999999</v>
          </cell>
        </row>
        <row r="35">
          <cell r="F35">
            <v>436200</v>
          </cell>
        </row>
        <row r="38">
          <cell r="F38">
            <v>2142000</v>
          </cell>
        </row>
        <row r="41">
          <cell r="F41">
            <v>1438400</v>
          </cell>
        </row>
        <row r="45">
          <cell r="F45">
            <v>11564023.289999999</v>
          </cell>
        </row>
        <row r="49">
          <cell r="F49">
            <v>7470000</v>
          </cell>
        </row>
      </sheetData>
      <sheetData sheetId="5"/>
      <sheetData sheetId="6">
        <row r="8">
          <cell r="E8">
            <v>136084799.75999999</v>
          </cell>
        </row>
        <row r="13">
          <cell r="E13">
            <v>18012494.850000001</v>
          </cell>
        </row>
        <row r="31">
          <cell r="E31">
            <v>545682</v>
          </cell>
        </row>
        <row r="34">
          <cell r="E34">
            <v>2444513.1599999997</v>
          </cell>
        </row>
        <row r="40">
          <cell r="E40">
            <v>9201637.0600000005</v>
          </cell>
        </row>
        <row r="43">
          <cell r="E43">
            <v>7294150.6399999997</v>
          </cell>
        </row>
      </sheetData>
      <sheetData sheetId="7">
        <row r="8">
          <cell r="E8">
            <v>46258128.219999999</v>
          </cell>
        </row>
        <row r="13">
          <cell r="E13">
            <v>18133185.899999999</v>
          </cell>
        </row>
        <row r="32">
          <cell r="E32">
            <v>535900</v>
          </cell>
        </row>
        <row r="35">
          <cell r="E35">
            <v>8571620</v>
          </cell>
        </row>
        <row r="41">
          <cell r="E41">
            <v>362912.88</v>
          </cell>
        </row>
        <row r="44">
          <cell r="E44">
            <v>7600000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0" refreshError="1"/>
      <sheetData sheetId="1" refreshError="1"/>
      <sheetData sheetId="2" refreshError="1"/>
      <sheetData sheetId="3">
        <row r="20">
          <cell r="B20">
            <v>1948620.4899999998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0"/>
      <sheetData sheetId="1"/>
      <sheetData sheetId="2"/>
      <sheetData sheetId="3">
        <row r="18">
          <cell r="C18">
            <v>5505864.3830000004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9"/>
  <sheetViews>
    <sheetView tabSelected="1" topLeftCell="D1" zoomScale="70" zoomScaleNormal="70" zoomScaleSheetLayoutView="25" zoomScalePageLayoutView="25" workbookViewId="0">
      <selection activeCell="W8" sqref="W8"/>
    </sheetView>
  </sheetViews>
  <sheetFormatPr defaultColWidth="12.88671875" defaultRowHeight="18" x14ac:dyDescent="0.25"/>
  <cols>
    <col min="1" max="3" width="12.88671875" style="3" hidden="1" customWidth="1"/>
    <col min="4" max="4" width="5.77734375" style="3" customWidth="1"/>
    <col min="5" max="5" width="62.5546875" style="3" customWidth="1"/>
    <col min="6" max="9" width="12.88671875" style="3" hidden="1" customWidth="1"/>
    <col min="10" max="10" width="15.109375" style="3" hidden="1" customWidth="1"/>
    <col min="11" max="11" width="12.88671875" style="3" hidden="1" customWidth="1"/>
    <col min="12" max="12" width="15.109375" style="3" hidden="1" customWidth="1"/>
    <col min="13" max="13" width="12.88671875" style="3" hidden="1" customWidth="1"/>
    <col min="14" max="14" width="15.109375" style="3" hidden="1" customWidth="1"/>
    <col min="15" max="15" width="11.88671875" style="3" hidden="1" customWidth="1"/>
    <col min="16" max="16" width="15.109375" style="3" bestFit="1" customWidth="1"/>
    <col min="17" max="17" width="12.88671875" style="3" customWidth="1"/>
    <col min="18" max="18" width="15.109375" style="3" bestFit="1" customWidth="1"/>
    <col min="19" max="19" width="12.88671875" style="3" customWidth="1"/>
    <col min="20" max="20" width="15.109375" style="3" bestFit="1" customWidth="1"/>
    <col min="21" max="21" width="12.88671875" style="3" customWidth="1"/>
    <col min="22" max="22" width="15.109375" style="3" bestFit="1" customWidth="1"/>
    <col min="23" max="23" width="12.88671875" style="3" customWidth="1"/>
    <col min="24" max="24" width="15.109375" style="3" bestFit="1" customWidth="1"/>
    <col min="25" max="25" width="12.88671875" style="3" customWidth="1"/>
    <col min="26" max="29" width="12.88671875" style="3" hidden="1" customWidth="1"/>
    <col min="30" max="16384" width="12.88671875" style="3"/>
  </cols>
  <sheetData>
    <row r="2" spans="2:34" ht="18.75" x14ac:dyDescent="0.2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1"/>
      <c r="Z2" s="1"/>
      <c r="AA2" s="1"/>
      <c r="AB2" s="2"/>
      <c r="AC2" s="2"/>
      <c r="AD2" s="2"/>
      <c r="AE2" s="2"/>
      <c r="AF2" s="2"/>
      <c r="AG2" s="2"/>
      <c r="AH2" s="2"/>
    </row>
    <row r="3" spans="2:34" x14ac:dyDescent="0.25">
      <c r="Z3" s="4"/>
      <c r="AA3" s="4"/>
    </row>
    <row r="4" spans="2:34" ht="18.75" x14ac:dyDescent="0.25">
      <c r="D4" s="58" t="s">
        <v>1</v>
      </c>
      <c r="E4" s="59" t="s">
        <v>2</v>
      </c>
      <c r="F4" s="59" t="s">
        <v>3</v>
      </c>
      <c r="G4" s="5" t="s">
        <v>4</v>
      </c>
      <c r="H4" s="59" t="s">
        <v>5</v>
      </c>
      <c r="I4" s="5" t="s">
        <v>6</v>
      </c>
      <c r="J4" s="61" t="s">
        <v>7</v>
      </c>
      <c r="K4" s="5" t="s">
        <v>4</v>
      </c>
      <c r="L4" s="61" t="s">
        <v>8</v>
      </c>
      <c r="M4" s="5" t="s">
        <v>4</v>
      </c>
      <c r="N4" s="61" t="s">
        <v>9</v>
      </c>
      <c r="O4" s="5" t="s">
        <v>10</v>
      </c>
      <c r="P4" s="61" t="s">
        <v>11</v>
      </c>
      <c r="Q4" s="5" t="s">
        <v>4</v>
      </c>
      <c r="R4" s="61" t="s">
        <v>12</v>
      </c>
      <c r="S4" s="6" t="s">
        <v>4</v>
      </c>
      <c r="T4" s="51" t="s">
        <v>13</v>
      </c>
      <c r="U4" s="6" t="s">
        <v>4</v>
      </c>
      <c r="V4" s="51" t="s">
        <v>14</v>
      </c>
      <c r="W4" s="6" t="s">
        <v>4</v>
      </c>
      <c r="X4" s="51" t="s">
        <v>15</v>
      </c>
      <c r="Y4" s="6" t="s">
        <v>4</v>
      </c>
      <c r="Z4" s="55" t="s">
        <v>16</v>
      </c>
      <c r="AA4" s="7" t="s">
        <v>4</v>
      </c>
      <c r="AB4" s="51" t="s">
        <v>16</v>
      </c>
      <c r="AC4" s="8" t="s">
        <v>4</v>
      </c>
    </row>
    <row r="5" spans="2:34" ht="37.5" x14ac:dyDescent="0.25">
      <c r="D5" s="58"/>
      <c r="E5" s="60"/>
      <c r="F5" s="60"/>
      <c r="G5" s="9" t="s">
        <v>17</v>
      </c>
      <c r="H5" s="60"/>
      <c r="I5" s="9" t="s">
        <v>17</v>
      </c>
      <c r="J5" s="62"/>
      <c r="K5" s="9" t="s">
        <v>17</v>
      </c>
      <c r="L5" s="62"/>
      <c r="M5" s="9" t="s">
        <v>17</v>
      </c>
      <c r="N5" s="62"/>
      <c r="O5" s="9" t="s">
        <v>17</v>
      </c>
      <c r="P5" s="62"/>
      <c r="Q5" s="9" t="s">
        <v>17</v>
      </c>
      <c r="R5" s="62"/>
      <c r="S5" s="9" t="s">
        <v>17</v>
      </c>
      <c r="T5" s="52"/>
      <c r="U5" s="8" t="s">
        <v>17</v>
      </c>
      <c r="V5" s="52"/>
      <c r="W5" s="8" t="s">
        <v>17</v>
      </c>
      <c r="X5" s="52"/>
      <c r="Y5" s="8" t="s">
        <v>17</v>
      </c>
      <c r="Z5" s="56"/>
      <c r="AA5" s="7" t="s">
        <v>17</v>
      </c>
      <c r="AB5" s="52"/>
      <c r="AC5" s="8" t="s">
        <v>17</v>
      </c>
    </row>
    <row r="6" spans="2:34" ht="18.75" hidden="1" x14ac:dyDescent="0.3">
      <c r="D6" s="9"/>
      <c r="E6" s="9" t="s">
        <v>18</v>
      </c>
      <c r="F6" s="10"/>
      <c r="G6" s="10">
        <v>600</v>
      </c>
      <c r="H6" s="11"/>
      <c r="I6" s="11">
        <v>600</v>
      </c>
      <c r="J6" s="12">
        <v>246000</v>
      </c>
      <c r="K6" s="12">
        <v>600</v>
      </c>
      <c r="L6" s="12">
        <v>292800</v>
      </c>
      <c r="M6" s="12">
        <v>600</v>
      </c>
      <c r="N6" s="12">
        <v>325200</v>
      </c>
      <c r="O6" s="12">
        <v>600</v>
      </c>
      <c r="P6" s="12">
        <v>378600</v>
      </c>
      <c r="Q6" s="12">
        <v>600</v>
      </c>
      <c r="R6" s="13">
        <v>0</v>
      </c>
      <c r="S6" s="13"/>
      <c r="T6" s="14">
        <v>0</v>
      </c>
      <c r="U6" s="14"/>
      <c r="V6" s="6">
        <v>0</v>
      </c>
      <c r="W6" s="6">
        <v>0</v>
      </c>
      <c r="X6" s="6">
        <v>0</v>
      </c>
      <c r="Y6" s="15">
        <v>0</v>
      </c>
      <c r="Z6" s="16"/>
      <c r="AA6" s="16"/>
      <c r="AB6" s="51"/>
      <c r="AC6" s="51"/>
    </row>
    <row r="7" spans="2:34" ht="18.75" hidden="1" x14ac:dyDescent="0.25">
      <c r="D7" s="9"/>
      <c r="E7" s="9" t="s">
        <v>19</v>
      </c>
      <c r="F7" s="10"/>
      <c r="G7" s="10">
        <v>18785</v>
      </c>
      <c r="H7" s="11"/>
      <c r="I7" s="11">
        <v>24902</v>
      </c>
      <c r="J7" s="12"/>
      <c r="K7" s="12">
        <v>31511</v>
      </c>
      <c r="L7" s="12"/>
      <c r="M7" s="12">
        <v>32047</v>
      </c>
      <c r="N7" s="12"/>
      <c r="O7" s="12">
        <v>32926</v>
      </c>
      <c r="P7" s="12"/>
      <c r="Q7" s="12">
        <v>37399</v>
      </c>
      <c r="R7" s="13"/>
      <c r="S7" s="13">
        <v>35465.1</v>
      </c>
      <c r="T7" s="14"/>
      <c r="U7" s="14">
        <v>31810.53</v>
      </c>
      <c r="V7" s="14"/>
      <c r="W7" s="14">
        <v>37255.71</v>
      </c>
      <c r="X7" s="14"/>
      <c r="Y7" s="14">
        <v>37255.71</v>
      </c>
      <c r="Z7" s="16"/>
      <c r="AA7" s="16"/>
      <c r="AB7" s="52"/>
      <c r="AC7" s="52"/>
    </row>
    <row r="8" spans="2:34" ht="48.75" customHeight="1" x14ac:dyDescent="0.25">
      <c r="D8" s="9">
        <v>1</v>
      </c>
      <c r="E8" s="17" t="s">
        <v>20</v>
      </c>
      <c r="F8" s="10">
        <v>69519833</v>
      </c>
      <c r="G8" s="10">
        <f>SUM(G9:G15)</f>
        <v>122573.18440679164</v>
      </c>
      <c r="H8" s="11">
        <f>SUM(H9:H15)</f>
        <v>81309053</v>
      </c>
      <c r="I8" s="11">
        <f>I9+I11+I12+I13+I14+I15</f>
        <v>143791.81445868945</v>
      </c>
      <c r="J8" s="11">
        <f>SUM(J9:J15)</f>
        <v>110368057</v>
      </c>
      <c r="K8" s="11">
        <f>K9+K11+K12+K13+K14+K15+K10</f>
        <v>199508.41829356473</v>
      </c>
      <c r="L8" s="11">
        <f>SUM(L9:L15)</f>
        <v>108477374</v>
      </c>
      <c r="M8" s="11">
        <f>M9+M11+M12+M13+M14+M15+M10</f>
        <v>201593.33581118751</v>
      </c>
      <c r="N8" s="11">
        <f>SUM(N9:N15)</f>
        <v>113989738</v>
      </c>
      <c r="O8" s="11">
        <f>O9+O11+O12+O13+O14+O15+O10</f>
        <v>189761.5082403862</v>
      </c>
      <c r="P8" s="11">
        <f>P9+P11+P12+P13+P14+P15</f>
        <v>125370954.93000001</v>
      </c>
      <c r="Q8" s="11">
        <f>Q9+Q11+Q12+Q13+Q14+Q15+Q10</f>
        <v>175742.37164858976</v>
      </c>
      <c r="R8" s="13">
        <f>SUM(R9:R15)</f>
        <v>155475937.28999996</v>
      </c>
      <c r="S8" s="13">
        <f>S9+S11+S12+S13+S14+S15</f>
        <v>202868.69328702876</v>
      </c>
      <c r="T8" s="13">
        <f>T9+T10+T11+T12+T13+T14+T15</f>
        <v>197916479.08000001</v>
      </c>
      <c r="U8" s="13">
        <f>SUM(U9:U15)</f>
        <v>269190.97179497511</v>
      </c>
      <c r="V8" s="13">
        <f>SUM(V9:V15)</f>
        <v>188589574</v>
      </c>
      <c r="W8" s="13">
        <f>SUM(W9:W15)</f>
        <v>248606.36320802924</v>
      </c>
      <c r="X8" s="13">
        <f>X9+X11+X12+X13+X14+X15</f>
        <v>173583277.46999997</v>
      </c>
      <c r="Y8" s="13">
        <f>SUM(Y9:Y15)</f>
        <v>224438.8581817591</v>
      </c>
      <c r="Z8" s="18" t="e">
        <f>SUM(Z9:Z15)</f>
        <v>#REF!</v>
      </c>
      <c r="AA8" s="18" t="e">
        <f>SUM(AA9:AA15)</f>
        <v>#REF!</v>
      </c>
      <c r="AB8" s="8">
        <f>SUM(AB9:AB15)</f>
        <v>81461747</v>
      </c>
      <c r="AC8" s="19">
        <f>SUM(AC9:AC15)</f>
        <v>102620.09486604026</v>
      </c>
    </row>
    <row r="9" spans="2:34" ht="71.25" customHeight="1" x14ac:dyDescent="0.25">
      <c r="D9" s="20" t="s">
        <v>21</v>
      </c>
      <c r="E9" s="17" t="s">
        <v>22</v>
      </c>
      <c r="F9" s="21">
        <v>40304349</v>
      </c>
      <c r="G9" s="21">
        <f t="shared" ref="G9:G15" si="0">F9/$F$20</f>
        <v>71062.201808981437</v>
      </c>
      <c r="H9" s="12">
        <v>59946259</v>
      </c>
      <c r="I9" s="12">
        <f t="shared" ref="I9:I14" si="1">H9/$H$20</f>
        <v>106741.91417378916</v>
      </c>
      <c r="J9" s="12">
        <v>81223132</v>
      </c>
      <c r="K9" s="12">
        <f t="shared" ref="K9:K15" si="2">J9/$J$20</f>
        <v>146824.17208966013</v>
      </c>
      <c r="L9" s="12">
        <v>78691686</v>
      </c>
      <c r="M9" s="12">
        <f t="shared" ref="M9:M15" si="3">L9/$L$20</f>
        <v>146239.89221334324</v>
      </c>
      <c r="N9" s="12">
        <v>81839191</v>
      </c>
      <c r="O9" s="12">
        <f>N9/N20</f>
        <v>136239.70534376558</v>
      </c>
      <c r="P9" s="12">
        <f>[1]Смета2012!B8</f>
        <v>91609401.969999999</v>
      </c>
      <c r="Q9" s="12">
        <f>P9/$P$20</f>
        <v>129611.49118562536</v>
      </c>
      <c r="R9" s="22">
        <f>[1]Смета2013!F8</f>
        <v>121110122.81999996</v>
      </c>
      <c r="S9" s="13">
        <f>R9/R20</f>
        <v>159125.11210090652</v>
      </c>
      <c r="T9" s="13">
        <f>[1]Смета2014!F8</f>
        <v>156100767.31</v>
      </c>
      <c r="U9" s="13">
        <f>T9/T20</f>
        <v>212700.32335468047</v>
      </c>
      <c r="V9" s="13">
        <f>[1]Смета2015!F8</f>
        <v>150777815.07000002</v>
      </c>
      <c r="W9" s="13">
        <f>V9/V20</f>
        <v>199542.73340097495</v>
      </c>
      <c r="X9" s="13">
        <f>[1]Смета2016!E8</f>
        <v>136084799.75999999</v>
      </c>
      <c r="Y9" s="13">
        <f>X9/X20</f>
        <v>176030.52712867444</v>
      </c>
      <c r="Z9" s="18" t="e">
        <f>#REF!</f>
        <v>#REF!</v>
      </c>
      <c r="AA9" s="18" t="e">
        <f>Z9/Z20</f>
        <v>#REF!</v>
      </c>
      <c r="AB9" s="23">
        <f>[1]Смета2017!E8</f>
        <v>46258128.219999999</v>
      </c>
      <c r="AC9" s="19">
        <f>AB9/AB20</f>
        <v>58554.592683544302</v>
      </c>
    </row>
    <row r="10" spans="2:34" ht="82.5" customHeight="1" x14ac:dyDescent="0.25">
      <c r="D10" s="20" t="s">
        <v>23</v>
      </c>
      <c r="E10" s="17" t="s">
        <v>24</v>
      </c>
      <c r="F10" s="21">
        <v>104280</v>
      </c>
      <c r="G10" s="21">
        <f t="shared" si="0"/>
        <v>183.86021827670717</v>
      </c>
      <c r="H10" s="12">
        <v>555570</v>
      </c>
      <c r="I10" s="12">
        <f t="shared" si="1"/>
        <v>989.26282051282044</v>
      </c>
      <c r="J10" s="12">
        <v>147600</v>
      </c>
      <c r="K10" s="12">
        <f t="shared" si="2"/>
        <v>266.81127982646416</v>
      </c>
      <c r="L10" s="12">
        <v>98400</v>
      </c>
      <c r="M10" s="12">
        <f t="shared" si="3"/>
        <v>182.86563835718266</v>
      </c>
      <c r="N10" s="12">
        <v>102535</v>
      </c>
      <c r="O10" s="12">
        <f t="shared" ref="O10:O15" si="4">N10/$N$20</f>
        <v>170.69252538704842</v>
      </c>
      <c r="P10" s="12">
        <v>99600</v>
      </c>
      <c r="Q10" s="24">
        <f>P10/$P$20</f>
        <v>140.91680814940577</v>
      </c>
      <c r="R10" s="12">
        <f>0</f>
        <v>0</v>
      </c>
      <c r="S10" s="25">
        <v>0</v>
      </c>
      <c r="T10" s="13">
        <v>0</v>
      </c>
      <c r="U10" s="13">
        <f>T10/T19</f>
        <v>0</v>
      </c>
      <c r="V10" s="13">
        <f>0</f>
        <v>0</v>
      </c>
      <c r="W10" s="13">
        <f>V10/$V$20</f>
        <v>0</v>
      </c>
      <c r="X10" s="13">
        <v>0</v>
      </c>
      <c r="Y10" s="13">
        <f>X10/$V$20</f>
        <v>0</v>
      </c>
      <c r="Z10" s="18"/>
      <c r="AA10" s="18"/>
      <c r="AB10" s="8"/>
      <c r="AC10" s="19"/>
    </row>
    <row r="11" spans="2:34" ht="50.25" customHeight="1" x14ac:dyDescent="0.25">
      <c r="D11" s="20" t="s">
        <v>25</v>
      </c>
      <c r="E11" s="17" t="s">
        <v>26</v>
      </c>
      <c r="F11" s="21">
        <v>1520566</v>
      </c>
      <c r="G11" s="21">
        <f t="shared" si="0"/>
        <v>2680.9704321455652</v>
      </c>
      <c r="H11" s="12">
        <v>3245822</v>
      </c>
      <c r="I11" s="12">
        <f t="shared" si="1"/>
        <v>5779.5975783475778</v>
      </c>
      <c r="J11" s="12">
        <v>4322953</v>
      </c>
      <c r="K11" s="12">
        <f t="shared" si="2"/>
        <v>7814.448662328271</v>
      </c>
      <c r="L11" s="12">
        <v>3826016</v>
      </c>
      <c r="M11" s="12">
        <f t="shared" si="3"/>
        <v>7110.2322988292135</v>
      </c>
      <c r="N11" s="12">
        <v>4358325</v>
      </c>
      <c r="O11" s="12">
        <f t="shared" si="4"/>
        <v>7255.4103545863154</v>
      </c>
      <c r="P11" s="12">
        <f>[1]Смета2012!F52</f>
        <v>4273944</v>
      </c>
      <c r="Q11" s="12">
        <f>P11/($P$20+P19/10)</f>
        <v>5364.5588050709184</v>
      </c>
      <c r="R11" s="13">
        <f>[1]Смета2013!F49</f>
        <v>5150891.62</v>
      </c>
      <c r="S11" s="13">
        <f>R11/(R20+R19/10)</f>
        <v>6199.1715248525697</v>
      </c>
      <c r="T11" s="13">
        <f>[1]Смета2014!F47</f>
        <v>10630085.77</v>
      </c>
      <c r="U11" s="13">
        <f>([1]Смета2014!F48/T17)+(([1]Смета2014!F47-[1]Смета2014!F48)/(T20+T19/10))</f>
        <v>14826.634095834543</v>
      </c>
      <c r="V11" s="13">
        <f>[1]Смета2015!F45</f>
        <v>11564023.289999999</v>
      </c>
      <c r="W11" s="13">
        <f>V11/($V$20+V19*10%)</f>
        <v>14497.161488074717</v>
      </c>
      <c r="X11" s="13">
        <f>[1]Смета2016!E40</f>
        <v>9201637.0600000005</v>
      </c>
      <c r="Y11" s="13">
        <f>X11/(X20+X19/10)</f>
        <v>11422.918814462319</v>
      </c>
      <c r="Z11" s="18" t="e">
        <f>#REF!</f>
        <v>#REF!</v>
      </c>
      <c r="AA11" s="18" t="e">
        <f>Z11/(Z20+Z19*10%)</f>
        <v>#REF!</v>
      </c>
      <c r="AB11" s="23">
        <f>[1]Смета2017!E41</f>
        <v>362912.88</v>
      </c>
      <c r="AC11" s="19">
        <f>AB11/(AB20+AB19*10%)</f>
        <v>440.3748088824172</v>
      </c>
    </row>
    <row r="12" spans="2:34" ht="47.25" customHeight="1" x14ac:dyDescent="0.25">
      <c r="D12" s="20" t="s">
        <v>27</v>
      </c>
      <c r="E12" s="17" t="s">
        <v>28</v>
      </c>
      <c r="F12" s="21">
        <v>7857100</v>
      </c>
      <c r="G12" s="21">
        <f t="shared" si="0"/>
        <v>13853.165717509743</v>
      </c>
      <c r="H12" s="12">
        <v>4550500</v>
      </c>
      <c r="I12" s="12">
        <f t="shared" si="1"/>
        <v>8102.7421652421654</v>
      </c>
      <c r="J12" s="12">
        <v>5506000</v>
      </c>
      <c r="K12" s="12">
        <f t="shared" si="2"/>
        <v>9953.0007230657975</v>
      </c>
      <c r="L12" s="12">
        <v>5825200</v>
      </c>
      <c r="M12" s="12">
        <f t="shared" si="3"/>
        <v>10825.497119494517</v>
      </c>
      <c r="N12" s="12">
        <v>4994521</v>
      </c>
      <c r="O12" s="12">
        <f t="shared" si="4"/>
        <v>8314.5014150158149</v>
      </c>
      <c r="P12" s="12">
        <f>[1]Смета2012!F56</f>
        <v>7473790</v>
      </c>
      <c r="Q12" s="12">
        <f>(1622624/631)+(7473790-1622624)/((P20+P19/10))</f>
        <v>9915.7644276300598</v>
      </c>
      <c r="R12" s="13">
        <f>[1]Смета2013!F52</f>
        <v>7199015.5899999999</v>
      </c>
      <c r="S12" s="13">
        <f>(1795135/700)+(7199016-1795135)/((R20+R19/10))</f>
        <v>9068.1264231556142</v>
      </c>
      <c r="T12" s="13">
        <f>[1]Смета2014!F51</f>
        <v>7997000</v>
      </c>
      <c r="U12" s="13">
        <f>(1381170/690)+(7997000-1381172)/(T20+T19/10)</f>
        <v>10392.092608419949</v>
      </c>
      <c r="V12" s="13">
        <f>[1]Смета2015!F49</f>
        <v>7470000</v>
      </c>
      <c r="W12" s="13">
        <f>('[2]2015'!$B$20/V17)+(('[3]2015'!$C$18)/(V20+V19*10%))</f>
        <v>9661.8248066590513</v>
      </c>
      <c r="X12" s="13">
        <f>[1]Смета2016!E43</f>
        <v>7294150.6399999997</v>
      </c>
      <c r="Y12" s="13">
        <f>X12/X20</f>
        <v>9435.2432040875719</v>
      </c>
      <c r="Z12" s="18" t="e">
        <f>#REF!</f>
        <v>#REF!</v>
      </c>
      <c r="AA12" s="18" t="e">
        <f>Z12/Z20</f>
        <v>#REF!</v>
      </c>
      <c r="AB12" s="23">
        <f>[1]Смета2017!E44</f>
        <v>7600000</v>
      </c>
      <c r="AC12" s="19">
        <f>AB12/AB20</f>
        <v>9620.2531645569616</v>
      </c>
    </row>
    <row r="13" spans="2:34" ht="43.5" customHeight="1" x14ac:dyDescent="0.25">
      <c r="D13" s="20" t="s">
        <v>29</v>
      </c>
      <c r="E13" s="17" t="s">
        <v>30</v>
      </c>
      <c r="F13" s="21">
        <v>513278</v>
      </c>
      <c r="G13" s="21">
        <f t="shared" si="0"/>
        <v>904.98086993317702</v>
      </c>
      <c r="H13" s="12">
        <v>562500</v>
      </c>
      <c r="I13" s="12">
        <f t="shared" si="1"/>
        <v>1001.6025641025641</v>
      </c>
      <c r="J13" s="12">
        <v>600000</v>
      </c>
      <c r="K13" s="12">
        <f t="shared" si="2"/>
        <v>1084.5986984815618</v>
      </c>
      <c r="L13" s="12">
        <v>753700</v>
      </c>
      <c r="M13" s="12">
        <f t="shared" si="3"/>
        <v>1400.669020628136</v>
      </c>
      <c r="N13" s="12">
        <v>645806</v>
      </c>
      <c r="O13" s="12">
        <f t="shared" si="4"/>
        <v>1075.0890627601132</v>
      </c>
      <c r="P13" s="12">
        <f>[1]Смета2012!B42</f>
        <v>632200</v>
      </c>
      <c r="Q13" s="12">
        <f>P13/(P20+P19*10%)</f>
        <v>793.52328354462168</v>
      </c>
      <c r="R13" s="13">
        <f>[1]Смета2013!F39</f>
        <v>596742.85000000009</v>
      </c>
      <c r="S13" s="13">
        <f>R13/(R20+R19*10%)</f>
        <v>718.18853050908672</v>
      </c>
      <c r="T13" s="13">
        <f>[1]Смета2014!F37</f>
        <v>556000</v>
      </c>
      <c r="U13" s="13">
        <f>T13/(T20+T19*10%)</f>
        <v>705.13633481293596</v>
      </c>
      <c r="V13" s="13">
        <f>[1]Смета2015!F35</f>
        <v>436200</v>
      </c>
      <c r="W13" s="13">
        <f>V13/(V20+V19*10%)</f>
        <v>546.83925157488954</v>
      </c>
      <c r="X13" s="13">
        <f>[1]Смета2016!E31</f>
        <v>545682</v>
      </c>
      <c r="Y13" s="13">
        <f>X13/(X20+X19*10%)</f>
        <v>677.4100243107639</v>
      </c>
      <c r="Z13" s="18" t="e">
        <f>#REF!</f>
        <v>#REF!</v>
      </c>
      <c r="AA13" s="18" t="e">
        <f>Z13/(Z20+Z19*10%)</f>
        <v>#REF!</v>
      </c>
      <c r="AB13" s="23">
        <f>[1]Смета2017!E32</f>
        <v>535900</v>
      </c>
      <c r="AC13" s="19">
        <f>AB13/(AB20+AB19*10%)</f>
        <v>650.28515956801357</v>
      </c>
    </row>
    <row r="14" spans="2:34" ht="46.5" customHeight="1" x14ac:dyDescent="0.25">
      <c r="D14" s="20" t="s">
        <v>31</v>
      </c>
      <c r="E14" s="17" t="s">
        <v>32</v>
      </c>
      <c r="F14" s="21">
        <v>6921291</v>
      </c>
      <c r="G14" s="21">
        <f t="shared" si="0"/>
        <v>12203.203625015429</v>
      </c>
      <c r="H14" s="12">
        <v>4528200</v>
      </c>
      <c r="I14" s="12">
        <f t="shared" si="1"/>
        <v>8063.0341880341875</v>
      </c>
      <c r="J14" s="12">
        <v>6932683</v>
      </c>
      <c r="K14" s="12">
        <f t="shared" si="2"/>
        <v>12531.964931308748</v>
      </c>
      <c r="L14" s="12">
        <v>7568600</v>
      </c>
      <c r="M14" s="12">
        <f t="shared" si="3"/>
        <v>14065.415350306634</v>
      </c>
      <c r="N14" s="12">
        <v>7141000</v>
      </c>
      <c r="O14" s="12">
        <f t="shared" si="4"/>
        <v>11887.797569502247</v>
      </c>
      <c r="P14" s="12">
        <f>[1]Смета2012!B45</f>
        <v>2099489.42</v>
      </c>
      <c r="Q14" s="12">
        <f>P14/($P$20+P19/10)</f>
        <v>2635.2321074432034</v>
      </c>
      <c r="R14" s="13">
        <f>[1]Смета2013!F42</f>
        <v>3481667.7500000019</v>
      </c>
      <c r="S14" s="13">
        <f>R14/(R20+R19/10)</f>
        <v>4190.2367914309807</v>
      </c>
      <c r="T14" s="13">
        <f>[1]Смета2014!F40</f>
        <v>2883400</v>
      </c>
      <c r="U14" s="13">
        <f>T14/(T20+T19*10%)</f>
        <v>3656.8167406467978</v>
      </c>
      <c r="V14" s="13">
        <f>[1]Смета2015!F38</f>
        <v>2142000</v>
      </c>
      <c r="W14" s="13">
        <f>([1]Смета2015!F41/V17)+([1]Смета2015!F38-[1]Смета2015!F41)/(V20+V19*10%)</f>
        <v>2918.976407116153</v>
      </c>
      <c r="X14" s="13">
        <f>[1]Смета2016!E34</f>
        <v>2444513.1599999997</v>
      </c>
      <c r="Y14" s="13">
        <f>X14/(X20+X19*10%)</f>
        <v>3034.6203817307187</v>
      </c>
      <c r="Z14" s="18" t="e">
        <f>#REF!</f>
        <v>#REF!</v>
      </c>
      <c r="AA14" s="18" t="e">
        <f>Z14/(Z20+Z19*10%)</f>
        <v>#REF!</v>
      </c>
      <c r="AB14" s="23">
        <f>[1]Смета2017!E35</f>
        <v>8571620</v>
      </c>
      <c r="AC14" s="19">
        <f>AB14/(AB20+AB19*10%)</f>
        <v>10401.189176070864</v>
      </c>
    </row>
    <row r="15" spans="2:34" ht="87.75" customHeight="1" x14ac:dyDescent="0.25">
      <c r="D15" s="20" t="s">
        <v>33</v>
      </c>
      <c r="E15" s="17" t="s">
        <v>34</v>
      </c>
      <c r="F15" s="10">
        <v>12298969</v>
      </c>
      <c r="G15" s="21">
        <f t="shared" si="0"/>
        <v>21684.801734929562</v>
      </c>
      <c r="H15" s="12">
        <v>7920202</v>
      </c>
      <c r="I15" s="12">
        <f>H15/H20</f>
        <v>14102.923789173788</v>
      </c>
      <c r="J15" s="12">
        <v>11635689</v>
      </c>
      <c r="K15" s="12">
        <f t="shared" si="2"/>
        <v>21033.421908893706</v>
      </c>
      <c r="L15" s="12">
        <v>11713772</v>
      </c>
      <c r="M15" s="12">
        <f t="shared" si="3"/>
        <v>21768.76417022858</v>
      </c>
      <c r="N15" s="12">
        <v>14908360</v>
      </c>
      <c r="O15" s="12">
        <f t="shared" si="4"/>
        <v>24818.311969369068</v>
      </c>
      <c r="P15" s="12">
        <f>[1]Смета2012!B13</f>
        <v>19282129.539999999</v>
      </c>
      <c r="Q15" s="12">
        <f>P15/$P$20</f>
        <v>27280.885031126203</v>
      </c>
      <c r="R15" s="13">
        <f>[1]Смета2013!F13</f>
        <v>17937496.66</v>
      </c>
      <c r="S15" s="13">
        <f>R15/R20</f>
        <v>23567.857916173958</v>
      </c>
      <c r="T15" s="13">
        <f>[1]Смета2014!F13</f>
        <v>19749226</v>
      </c>
      <c r="U15" s="13">
        <f>T15/T20</f>
        <v>26909.96866058046</v>
      </c>
      <c r="V15" s="13">
        <f>[1]Смета2015!F13</f>
        <v>16199535.639999999</v>
      </c>
      <c r="W15" s="13">
        <f>V15/$V$20</f>
        <v>21438.827853629486</v>
      </c>
      <c r="X15" s="13">
        <f>[1]Смета2016!E13</f>
        <v>18012494.850000001</v>
      </c>
      <c r="Y15" s="13">
        <f>X15/$V$20</f>
        <v>23838.138628493285</v>
      </c>
      <c r="Z15" s="18" t="e">
        <f>#REF!</f>
        <v>#REF!</v>
      </c>
      <c r="AA15" s="18" t="e">
        <f>Z15/Z20</f>
        <v>#REF!</v>
      </c>
      <c r="AB15" s="23">
        <f>[1]Смета2017!E13</f>
        <v>18133185.899999999</v>
      </c>
      <c r="AC15" s="19">
        <f>AB15/AB20</f>
        <v>22953.399873417718</v>
      </c>
    </row>
    <row r="16" spans="2:34" ht="18.75" hidden="1" x14ac:dyDescent="0.3">
      <c r="D16" s="20" t="s">
        <v>23</v>
      </c>
      <c r="E16" s="17" t="s">
        <v>35</v>
      </c>
      <c r="F16" s="21"/>
      <c r="G16" s="21">
        <f>G8+G7+G6</f>
        <v>141958.18440679164</v>
      </c>
      <c r="H16" s="12"/>
      <c r="I16" s="12">
        <v>168752.62191684285</v>
      </c>
      <c r="J16" s="12"/>
      <c r="K16" s="12">
        <v>235292.25368188511</v>
      </c>
      <c r="L16" s="12"/>
      <c r="M16" s="12">
        <v>234240.33581118751</v>
      </c>
      <c r="N16" s="12"/>
      <c r="O16" s="12">
        <v>223287.5082403862</v>
      </c>
      <c r="P16" s="12"/>
      <c r="Q16" s="12">
        <v>217763.07187323147</v>
      </c>
      <c r="R16" s="13"/>
      <c r="S16" s="13">
        <f>S8+S7</f>
        <v>238333.79328702876</v>
      </c>
      <c r="T16" s="13"/>
      <c r="U16" s="13">
        <f>U6+U7+U8</f>
        <v>301001.50179497513</v>
      </c>
      <c r="V16" s="13"/>
      <c r="W16" s="13">
        <f>W6+W7+W8</f>
        <v>285862.07320802927</v>
      </c>
      <c r="X16" s="26"/>
      <c r="Y16" s="13">
        <f>Y6+Y7+Y8</f>
        <v>261694.5681817591</v>
      </c>
      <c r="Z16" s="27"/>
      <c r="AA16" s="27"/>
      <c r="AB16" s="51">
        <v>742</v>
      </c>
      <c r="AC16" s="51"/>
    </row>
    <row r="17" spans="4:29" ht="30.75" customHeight="1" x14ac:dyDescent="0.3">
      <c r="D17" s="28"/>
      <c r="E17" s="9" t="s">
        <v>36</v>
      </c>
      <c r="F17" s="21">
        <v>484</v>
      </c>
      <c r="G17" s="21"/>
      <c r="H17" s="21">
        <v>482</v>
      </c>
      <c r="I17" s="21"/>
      <c r="J17" s="21">
        <v>496</v>
      </c>
      <c r="K17" s="21"/>
      <c r="L17" s="21">
        <v>488</v>
      </c>
      <c r="M17" s="21"/>
      <c r="N17" s="21">
        <v>542</v>
      </c>
      <c r="O17" s="21"/>
      <c r="P17" s="21">
        <v>631</v>
      </c>
      <c r="Q17" s="21"/>
      <c r="R17" s="14">
        <v>700</v>
      </c>
      <c r="S17" s="14"/>
      <c r="T17" s="14">
        <v>679</v>
      </c>
      <c r="U17" s="14"/>
      <c r="V17" s="29">
        <f>(678+678+676+675+674+673+738+738+737+736+736+735)/12</f>
        <v>706.16666666666663</v>
      </c>
      <c r="W17" s="29"/>
      <c r="X17" s="29">
        <f>(735+735+735+734+734+732+599+743+743+744+744+743)/12</f>
        <v>726.75</v>
      </c>
      <c r="Y17" s="26"/>
      <c r="Z17" s="27">
        <f>(742)</f>
        <v>742</v>
      </c>
      <c r="AA17" s="27"/>
      <c r="AB17" s="52"/>
      <c r="AC17" s="52"/>
    </row>
    <row r="18" spans="4:29" ht="32.25" customHeight="1" x14ac:dyDescent="0.3">
      <c r="D18" s="28"/>
      <c r="E18" s="9" t="s">
        <v>37</v>
      </c>
      <c r="F18" s="21">
        <v>902</v>
      </c>
      <c r="G18" s="21"/>
      <c r="H18" s="21">
        <v>796</v>
      </c>
      <c r="I18" s="21"/>
      <c r="J18" s="21">
        <v>572</v>
      </c>
      <c r="K18" s="21"/>
      <c r="L18" s="21">
        <v>501</v>
      </c>
      <c r="M18" s="21"/>
      <c r="N18" s="21">
        <v>587</v>
      </c>
      <c r="O18" s="21"/>
      <c r="P18" s="21">
        <v>758</v>
      </c>
      <c r="Q18" s="21"/>
      <c r="R18" s="14">
        <v>611</v>
      </c>
      <c r="S18" s="14"/>
      <c r="T18" s="14">
        <v>549</v>
      </c>
      <c r="U18" s="14"/>
      <c r="V18" s="29">
        <f>(549+547+545+511+511+508+431+392+485+485+485+485)/12</f>
        <v>494.5</v>
      </c>
      <c r="W18" s="29"/>
      <c r="X18" s="29">
        <f>(485+485+468+452+408+408+408+503+487+487+484+484)/12</f>
        <v>463.25</v>
      </c>
      <c r="Y18" s="26"/>
      <c r="Z18" s="27">
        <f>(481)</f>
        <v>481</v>
      </c>
      <c r="AA18" s="27"/>
      <c r="AB18" s="8">
        <v>481</v>
      </c>
      <c r="AC18" s="30"/>
    </row>
    <row r="19" spans="4:29" ht="33" customHeight="1" x14ac:dyDescent="0.3">
      <c r="D19" s="31"/>
      <c r="E19" s="9" t="s">
        <v>38</v>
      </c>
      <c r="F19" s="21">
        <v>919.27</v>
      </c>
      <c r="G19" s="21"/>
      <c r="H19" s="21">
        <v>891</v>
      </c>
      <c r="I19" s="21"/>
      <c r="J19" s="21">
        <v>942</v>
      </c>
      <c r="K19" s="21"/>
      <c r="L19" s="21">
        <v>949</v>
      </c>
      <c r="M19" s="21"/>
      <c r="N19" s="21">
        <v>833</v>
      </c>
      <c r="O19" s="21"/>
      <c r="P19" s="21">
        <v>899</v>
      </c>
      <c r="Q19" s="21"/>
      <c r="R19" s="14">
        <v>698</v>
      </c>
      <c r="S19" s="14"/>
      <c r="T19" s="14">
        <v>546</v>
      </c>
      <c r="U19" s="14"/>
      <c r="V19" s="29">
        <f>(523+523+436+436+435+401+322+384+399+395+400+393)/12</f>
        <v>420.58333333333331</v>
      </c>
      <c r="W19" s="29"/>
      <c r="X19" s="29">
        <f>(398+392+326+311+311+305+283+228+329+335+338+340)/12</f>
        <v>324.66666666666669</v>
      </c>
      <c r="Y19" s="15"/>
      <c r="Z19" s="27">
        <f>(341)</f>
        <v>341</v>
      </c>
      <c r="AA19" s="27"/>
      <c r="AB19" s="8">
        <v>341</v>
      </c>
      <c r="AC19" s="30"/>
    </row>
    <row r="20" spans="4:29" ht="33" customHeight="1" x14ac:dyDescent="0.25">
      <c r="D20" s="32"/>
      <c r="E20" s="9" t="s">
        <v>39</v>
      </c>
      <c r="F20" s="21">
        <v>567.16999999999996</v>
      </c>
      <c r="G20" s="21"/>
      <c r="H20" s="21">
        <f>H17+H18*10%</f>
        <v>561.6</v>
      </c>
      <c r="I20" s="21"/>
      <c r="J20" s="21">
        <f>J17+J18*10%</f>
        <v>553.20000000000005</v>
      </c>
      <c r="K20" s="21"/>
      <c r="L20" s="21">
        <f>L17+L18*10%</f>
        <v>538.1</v>
      </c>
      <c r="M20" s="21"/>
      <c r="N20" s="21">
        <f>N17+N18*10%</f>
        <v>600.70000000000005</v>
      </c>
      <c r="O20" s="21"/>
      <c r="P20" s="21">
        <f>P17+P18*10%</f>
        <v>706.8</v>
      </c>
      <c r="Q20" s="21"/>
      <c r="R20" s="21">
        <f>R17+R18*10%</f>
        <v>761.1</v>
      </c>
      <c r="S20" s="33"/>
      <c r="T20" s="14">
        <f>T17+T18*10%</f>
        <v>733.9</v>
      </c>
      <c r="U20" s="14"/>
      <c r="V20" s="29">
        <f>V17+V18*10%</f>
        <v>755.61666666666667</v>
      </c>
      <c r="W20" s="29"/>
      <c r="X20" s="29">
        <f>X17+X18*10%</f>
        <v>773.07500000000005</v>
      </c>
      <c r="Y20" s="29"/>
      <c r="Z20" s="27">
        <f>Z17+Z18*10%</f>
        <v>790.1</v>
      </c>
      <c r="AA20" s="27"/>
      <c r="AB20" s="8">
        <v>790</v>
      </c>
      <c r="AC20" s="8"/>
    </row>
    <row r="21" spans="4:29" ht="18.75" hidden="1" x14ac:dyDescent="0.3">
      <c r="D21" s="34"/>
      <c r="E21" s="17" t="s">
        <v>40</v>
      </c>
      <c r="F21" s="21">
        <v>861852</v>
      </c>
      <c r="G21" s="21"/>
      <c r="H21" s="12">
        <v>983273</v>
      </c>
      <c r="I21" s="12"/>
      <c r="J21" s="35">
        <v>1537241</v>
      </c>
      <c r="K21" s="35"/>
      <c r="L21" s="12">
        <v>1923611</v>
      </c>
      <c r="M21" s="12"/>
      <c r="N21" s="12">
        <v>1041713</v>
      </c>
      <c r="O21" s="12"/>
      <c r="P21" s="21">
        <v>3215575</v>
      </c>
      <c r="Q21" s="21"/>
      <c r="R21" s="21">
        <v>2520863.14</v>
      </c>
      <c r="S21" s="21"/>
      <c r="T21" s="21">
        <v>3873573.8099999968</v>
      </c>
      <c r="U21" s="14"/>
      <c r="V21" s="13">
        <v>3213591.96</v>
      </c>
      <c r="W21" s="15"/>
      <c r="X21" s="13">
        <v>4593995.7300000004</v>
      </c>
      <c r="Y21" s="15"/>
    </row>
    <row r="22" spans="4:29" ht="18.75" x14ac:dyDescent="0.3">
      <c r="D22" s="4"/>
      <c r="E22" s="36"/>
      <c r="F22" s="37"/>
      <c r="G22" s="37"/>
      <c r="H22" s="38"/>
      <c r="I22" s="38"/>
      <c r="J22" s="39"/>
      <c r="K22" s="39"/>
      <c r="L22" s="38"/>
      <c r="M22" s="38"/>
      <c r="N22" s="38"/>
      <c r="O22" s="38"/>
      <c r="P22" s="37"/>
      <c r="Q22" s="37"/>
      <c r="R22" s="37"/>
      <c r="S22" s="37"/>
      <c r="T22" s="37"/>
      <c r="U22" s="40"/>
      <c r="V22" s="41"/>
      <c r="W22" s="42"/>
      <c r="X22" s="41"/>
      <c r="Y22" s="42"/>
    </row>
    <row r="23" spans="4:29" ht="18.75" x14ac:dyDescent="0.3">
      <c r="D23" s="4"/>
      <c r="E23" s="1"/>
      <c r="F23" s="37"/>
      <c r="G23" s="37"/>
      <c r="H23" s="38"/>
      <c r="I23" s="38"/>
      <c r="J23" s="39"/>
      <c r="K23" s="39"/>
      <c r="L23" s="38"/>
      <c r="M23" s="38"/>
      <c r="N23" s="38"/>
      <c r="O23" s="38"/>
      <c r="P23" s="38"/>
      <c r="Q23" s="38"/>
      <c r="R23" s="43"/>
      <c r="S23" s="43"/>
      <c r="T23" s="40"/>
      <c r="U23" s="40"/>
      <c r="V23" s="40"/>
      <c r="W23" s="44"/>
      <c r="X23" s="40"/>
      <c r="Y23" s="42"/>
    </row>
    <row r="24" spans="4:29" ht="37.5" customHeight="1" x14ac:dyDescent="0.3">
      <c r="E24" s="53" t="s">
        <v>41</v>
      </c>
      <c r="F24" s="53"/>
      <c r="G24" s="53"/>
      <c r="H24" s="53"/>
      <c r="I24" s="53"/>
      <c r="J24" s="53"/>
      <c r="K24" s="45"/>
      <c r="L24" s="46"/>
      <c r="M24" s="46"/>
      <c r="N24" s="46"/>
      <c r="O24" s="46"/>
      <c r="P24" s="46"/>
      <c r="Q24" s="46"/>
      <c r="R24" s="46"/>
      <c r="U24" s="47"/>
    </row>
    <row r="25" spans="4:29" ht="21" customHeight="1" x14ac:dyDescent="0.3">
      <c r="E25" s="53" t="s">
        <v>42</v>
      </c>
      <c r="F25" s="53"/>
      <c r="G25" s="53"/>
      <c r="H25" s="53"/>
      <c r="I25" s="53"/>
      <c r="J25" s="53"/>
      <c r="K25" s="46"/>
      <c r="L25" s="46"/>
      <c r="M25" s="46"/>
      <c r="N25" s="46"/>
      <c r="O25" s="46"/>
      <c r="P25" s="46"/>
      <c r="Q25" s="46"/>
      <c r="R25" s="48"/>
      <c r="S25" s="46"/>
      <c r="T25" s="54" t="s">
        <v>43</v>
      </c>
      <c r="U25" s="54"/>
      <c r="V25" s="49"/>
      <c r="AA25" s="36" t="s">
        <v>44</v>
      </c>
      <c r="AB25" s="36" t="s">
        <v>44</v>
      </c>
    </row>
    <row r="26" spans="4:29" ht="18.75" x14ac:dyDescent="0.3">
      <c r="D26" s="46"/>
      <c r="T26" s="46"/>
      <c r="U26" s="46"/>
      <c r="Y26" s="36"/>
    </row>
    <row r="27" spans="4:29" ht="18.75" x14ac:dyDescent="0.3">
      <c r="D27" s="46"/>
      <c r="E27" s="46"/>
      <c r="F27" s="46"/>
      <c r="G27" s="46"/>
      <c r="H27" s="50"/>
      <c r="I27" s="46"/>
      <c r="J27" s="46"/>
      <c r="K27" s="46"/>
      <c r="L27" s="46"/>
      <c r="M27" s="46"/>
      <c r="N27" s="46"/>
      <c r="O27" s="46"/>
      <c r="P27" s="46"/>
      <c r="Q27" s="46"/>
      <c r="R27" s="48"/>
      <c r="T27" s="46"/>
      <c r="U27" s="46"/>
    </row>
    <row r="28" spans="4:29" ht="18.75" x14ac:dyDescent="0.3">
      <c r="R28" s="48"/>
    </row>
    <row r="29" spans="4:29" ht="18.75" x14ac:dyDescent="0.3">
      <c r="R29" s="48"/>
    </row>
  </sheetData>
  <mergeCells count="22">
    <mergeCell ref="B2:X2"/>
    <mergeCell ref="D4:D5"/>
    <mergeCell ref="E4:E5"/>
    <mergeCell ref="F4:F5"/>
    <mergeCell ref="H4:H5"/>
    <mergeCell ref="J4:J5"/>
    <mergeCell ref="L4:L5"/>
    <mergeCell ref="N4:N5"/>
    <mergeCell ref="P4:P5"/>
    <mergeCell ref="R4:R5"/>
    <mergeCell ref="T4:T5"/>
    <mergeCell ref="V4:V5"/>
    <mergeCell ref="X4:X5"/>
    <mergeCell ref="Z4:Z5"/>
    <mergeCell ref="AB4:AB5"/>
    <mergeCell ref="AC6:AC7"/>
    <mergeCell ref="AB16:AB17"/>
    <mergeCell ref="AC16:AC17"/>
    <mergeCell ref="E24:J24"/>
    <mergeCell ref="E25:J25"/>
    <mergeCell ref="T25:U25"/>
    <mergeCell ref="AB6:AB7"/>
  </mergeCells>
  <printOptions horizontalCentered="1" verticalCentered="1"/>
  <pageMargins left="0" right="0" top="0.74803149606299213" bottom="0.7874015748031496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исходные данные</vt:lpstr>
      <vt:lpstr>'исходные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07301155</dc:creator>
  <cp:lastModifiedBy>rayzanova_oa</cp:lastModifiedBy>
  <dcterms:created xsi:type="dcterms:W3CDTF">2017-03-30T01:53:15Z</dcterms:created>
  <dcterms:modified xsi:type="dcterms:W3CDTF">2017-03-30T04:02:04Z</dcterms:modified>
</cp:coreProperties>
</file>